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140" windowHeight="12060" activeTab="3"/>
  </bookViews>
  <sheets>
    <sheet name="THERAPYB" sheetId="1" r:id="rId1"/>
    <sheet name="INDEX" sheetId="2" r:id="rId2"/>
    <sheet name="DIAGNOSIS" sheetId="3" r:id="rId3"/>
    <sheet name="THERAPYA" sheetId="4" r:id="rId4"/>
  </sheets>
  <definedNames>
    <definedName name="_xlnm.Print_Area" localSheetId="3">'THERAPYA'!$A$1:$L$18</definedName>
  </definedNames>
  <calcPr fullCalcOnLoad="1"/>
</workbook>
</file>

<file path=xl/sharedStrings.xml><?xml version="1.0" encoding="utf-8"?>
<sst xmlns="http://schemas.openxmlformats.org/spreadsheetml/2006/main" count="146" uniqueCount="133">
  <si>
    <t>True Condition(Gold Standard)</t>
  </si>
  <si>
    <t>Trial</t>
  </si>
  <si>
    <t>Positive</t>
  </si>
  <si>
    <t>Negative</t>
  </si>
  <si>
    <t>Results</t>
  </si>
  <si>
    <t xml:space="preserve">PositivePredictiveValue </t>
  </si>
  <si>
    <t>Negative Predicitive Value</t>
  </si>
  <si>
    <t>Enter your data in the</t>
  </si>
  <si>
    <t>5 red boxes.</t>
  </si>
  <si>
    <t>Sensitivity</t>
  </si>
  <si>
    <t>Specificity</t>
  </si>
  <si>
    <t>Sensitivity=</t>
  </si>
  <si>
    <t>is portion of true condition positives that were identified as positive by the trial</t>
  </si>
  <si>
    <t>Specificity=</t>
  </si>
  <si>
    <t>is portion of true condition negatives that were identified as negative by the trial</t>
  </si>
  <si>
    <t>Positive Pred. Value=</t>
  </si>
  <si>
    <t>Of those identified by the trial as Positive, this is the portion that really is</t>
  </si>
  <si>
    <t>Negative Pred. Value=</t>
  </si>
  <si>
    <t>Of those identified by the trial as Negative, this is the portion that really is</t>
  </si>
  <si>
    <t>Test Accuracy in % =</t>
  </si>
  <si>
    <t>The trial Results were correct for this percentage of the total subjects</t>
  </si>
  <si>
    <t>Positive Likelihood Ratio=</t>
  </si>
  <si>
    <t>If you have the condition, how much more likely are you to have a + trial result?</t>
  </si>
  <si>
    <t>Negative Likelihood Ratio=</t>
  </si>
  <si>
    <t>If you don't have the condition, how much more likely are you to have a - trial result?</t>
  </si>
  <si>
    <t>Enter PreTest Probability here-&gt;</t>
  </si>
  <si>
    <t>(In decimal format)</t>
  </si>
  <si>
    <t>Positive Post-Test Probability% =</t>
  </si>
  <si>
    <t>The Probability that a SPECIFICITY trial result will RULE IN a condition( SP in)</t>
  </si>
  <si>
    <t>Negative Post-Test Probability%=</t>
  </si>
  <si>
    <t>The probability that a SENSITIVE negative trial result will RULE OUT a condition(SNout)</t>
  </si>
  <si>
    <t>EVENT</t>
  </si>
  <si>
    <t>Non-EVENT</t>
  </si>
  <si>
    <t>TREATMENT</t>
  </si>
  <si>
    <t>Fill in the red numbered boxes</t>
  </si>
  <si>
    <t>CONTROL</t>
  </si>
  <si>
    <t>Control Event rate = CER           =</t>
  </si>
  <si>
    <t>Control Event/Total control =</t>
  </si>
  <si>
    <t>Exper. Event rate = EER             =</t>
  </si>
  <si>
    <t>Treatment Event/Total treatment=</t>
  </si>
  <si>
    <t>|EER - CER| =</t>
  </si>
  <si>
    <t>|ARR/CER| =</t>
  </si>
  <si>
    <t>1/ARR =</t>
  </si>
  <si>
    <t>EER is the rate that an event occurs in the Experimental treatment group.</t>
  </si>
  <si>
    <t>Back to Index</t>
  </si>
  <si>
    <t xml:space="preserve">     Totals</t>
  </si>
  <si>
    <t>CER is the rate that an event occurs in the control group without the Experimental  treatment.</t>
  </si>
  <si>
    <t>Mean of TreatmentA=</t>
  </si>
  <si>
    <t>Mean of TreatmentB=</t>
  </si>
  <si>
    <t xml:space="preserve">  Standard Dev of A=</t>
  </si>
  <si>
    <t xml:space="preserve">  Standard Dev of B=</t>
  </si>
  <si>
    <t xml:space="preserve">      # of subjects in Treat A</t>
  </si>
  <si>
    <t xml:space="preserve">      # of subjects in Treat B</t>
  </si>
  <si>
    <t xml:space="preserve">   Physical Therapy</t>
  </si>
  <si>
    <t xml:space="preserve">         School of </t>
  </si>
  <si>
    <t>Fill in the information in</t>
  </si>
  <si>
    <t>the red boxes.  The</t>
  </si>
  <si>
    <t xml:space="preserve">    Back to Index</t>
  </si>
  <si>
    <t xml:space="preserve">   Statistics use in Evidence Based Practice</t>
  </si>
  <si>
    <t xml:space="preserve"> Ken Bush, PhD, P.T.</t>
  </si>
  <si>
    <t xml:space="preserve">    TO</t>
  </si>
  <si>
    <t>95% CI for NNT is the range in which the NNT would expect to be found 95% of the time</t>
  </si>
  <si>
    <t xml:space="preserve">Use with PROSPECTIVE STUDIES (Cohort or RCT's) </t>
  </si>
  <si>
    <t>Use with RETROSPECTIVE STUDIES or CASE CONTROL studies</t>
  </si>
  <si>
    <t>Effect Size</t>
  </si>
  <si>
    <t>Percentile Standing</t>
  </si>
  <si>
    <t>Percent of Nonoverlap</t>
  </si>
  <si>
    <t>LARGE</t>
  </si>
  <si>
    <t>MEDIUM</t>
  </si>
  <si>
    <t>SMALL</t>
  </si>
  <si>
    <t>Effect size is the number of standard deviations one score is above another</t>
  </si>
  <si>
    <t>Anything over .8 is considered to be a large effect.  See table below:</t>
  </si>
  <si>
    <t>For Interpretation of this table, goto:</t>
  </si>
  <si>
    <t>http://web.uccs.edu/lbecker/Psy590/es.htm#1.%20Standardized%20difference%20between%20two</t>
  </si>
  <si>
    <t>This table is from WEB.UCCS.edu/lbecker</t>
  </si>
  <si>
    <t>Click here for Statistics on Therapy where data is score data:  Effect Size,  Mean difference,  Confidence Intervals</t>
  </si>
  <si>
    <t>http://www.cemcentre.org/ebeuk/research/effectsize/default.htm</t>
  </si>
  <si>
    <t>Or:</t>
  </si>
  <si>
    <t>Mean difference =</t>
  </si>
  <si>
    <t>Pooled sd =</t>
  </si>
  <si>
    <t>SD=</t>
  </si>
  <si>
    <r>
      <t xml:space="preserve">     </t>
    </r>
    <r>
      <rPr>
        <b/>
        <sz val="14"/>
        <rFont val="Arial"/>
        <family val="2"/>
      </rPr>
      <t>Mean Difference =</t>
    </r>
  </si>
  <si>
    <t>effect size and CI will</t>
  </si>
  <si>
    <t>( &lt;10)? )</t>
  </si>
  <si>
    <t xml:space="preserve">  *  Note:  This effect size is calculated from the means and standard deviations</t>
  </si>
  <si>
    <t>of two independent means.   Repeated measures effect size calculations</t>
  </si>
  <si>
    <t>or effect sizes based upon other data will require other calculators.</t>
  </si>
  <si>
    <t>Other calculations may be found at:</t>
  </si>
  <si>
    <t>http://www.work-learning.com/white_papers/effect_sizes/Effect_Sizes_pdf5.pdf</t>
  </si>
  <si>
    <t>Effect Size(Between) =</t>
  </si>
  <si>
    <t>Effect size   (Within)    =</t>
  </si>
  <si>
    <t>If data is repeated measures,</t>
  </si>
  <si>
    <t>Treatment A should be the before treatment.</t>
  </si>
  <si>
    <t>RR =</t>
  </si>
  <si>
    <t>EER/CER=</t>
  </si>
  <si>
    <t>Odds Ratio =</t>
  </si>
  <si>
    <t>(a/b)/(c/d)=</t>
  </si>
  <si>
    <t>ARR is the amount that risk decreases from the control group to the experimental group.</t>
  </si>
  <si>
    <r>
      <t xml:space="preserve">  </t>
    </r>
    <r>
      <rPr>
        <b/>
        <sz val="14"/>
        <rFont val="Arial"/>
        <family val="2"/>
      </rPr>
      <t>Big ARR = Effective Rx</t>
    </r>
  </si>
  <si>
    <t>Relative Risk(RR) is a measure of the association between the presence or absence of an event and</t>
  </si>
  <si>
    <t xml:space="preserve"> presence or absence of exposure.</t>
  </si>
  <si>
    <t>Odds ratio is how much more likely an event is in the treatment group as compared to</t>
  </si>
  <si>
    <t>the non-treatment group</t>
  </si>
  <si>
    <t>RRR is the amount that the risk would decrease in the general population if all got the treatment.</t>
  </si>
  <si>
    <t>if we continued to repeat the study.</t>
  </si>
  <si>
    <t xml:space="preserve">   OR&gt;1 indicates increase in event, given treatment. OR&lt;1 indicates decreased event given treatment.</t>
  </si>
  <si>
    <t>Click here for Statistics on THERAPY where data is categorical:  ARR, RRR,  NNT,  Confidence Intervals, Odds Ratios or Relative Risk</t>
  </si>
  <si>
    <t>NNT is the number that must be treated to have one additional successful outcome.</t>
  </si>
  <si>
    <t xml:space="preserve">If the likelihood of the event in the general population is less than 1%,  the Odds ratio is approx = to the RR. </t>
  </si>
  <si>
    <t>Click here for Statistics on DIAGNOSIS:  Sensitivity, Specificity,  +/-Predictive Values,  Likelihood Ratios.</t>
  </si>
  <si>
    <t>Pos LR=</t>
  </si>
  <si>
    <t>Neg LR =</t>
  </si>
  <si>
    <t xml:space="preserve">                   OR</t>
  </si>
  <si>
    <t xml:space="preserve">    Enter Sensitivity,  specificity and PreTest probability (IN RED) below:</t>
  </si>
  <si>
    <t xml:space="preserve">     Sensitivity(in decimal) =</t>
  </si>
  <si>
    <t xml:space="preserve">     Specificity (in decimal)=</t>
  </si>
  <si>
    <t>Avge  sd=</t>
  </si>
  <si>
    <t>Mean 95%Confidence Interval</t>
  </si>
  <si>
    <r>
      <t xml:space="preserve">NNT or </t>
    </r>
    <r>
      <rPr>
        <b/>
        <sz val="14"/>
        <color indexed="10"/>
        <rFont val="Arial"/>
        <family val="2"/>
      </rPr>
      <t>NNH(if -)</t>
    </r>
    <r>
      <rPr>
        <b/>
        <sz val="14"/>
        <rFont val="Arial"/>
        <family val="2"/>
      </rPr>
      <t xml:space="preserve">= </t>
    </r>
  </si>
  <si>
    <r>
      <t>ARR</t>
    </r>
    <r>
      <rPr>
        <b/>
        <sz val="14"/>
        <color indexed="10"/>
        <rFont val="Arial"/>
        <family val="2"/>
      </rPr>
      <t>(or ARI if -)</t>
    </r>
    <r>
      <rPr>
        <b/>
        <sz val="14"/>
        <rFont val="Arial"/>
        <family val="2"/>
      </rPr>
      <t xml:space="preserve"> or ABI = </t>
    </r>
  </si>
  <si>
    <r>
      <t>RRR</t>
    </r>
    <r>
      <rPr>
        <b/>
        <sz val="14"/>
        <color indexed="10"/>
        <rFont val="Arial"/>
        <family val="2"/>
      </rPr>
      <t>(or RRI if -)</t>
    </r>
    <r>
      <rPr>
        <b/>
        <sz val="14"/>
        <rFont val="Arial"/>
        <family val="2"/>
      </rPr>
      <t xml:space="preserve">  or RBI = </t>
    </r>
  </si>
  <si>
    <t xml:space="preserve">   (Use to compare findings of different studies)</t>
  </si>
  <si>
    <t>(Wald Method)</t>
  </si>
  <si>
    <r>
      <t xml:space="preserve">    </t>
    </r>
    <r>
      <rPr>
        <b/>
        <sz val="14"/>
        <rFont val="Arial"/>
        <family val="2"/>
      </rPr>
      <t>95%  Confidence interval:</t>
    </r>
  </si>
  <si>
    <t>Lower</t>
  </si>
  <si>
    <t>Upper</t>
  </si>
  <si>
    <t xml:space="preserve">   Confidence Interval</t>
  </si>
  <si>
    <r>
      <t xml:space="preserve">    </t>
    </r>
    <r>
      <rPr>
        <b/>
        <sz val="10"/>
        <color indexed="15"/>
        <rFont val="Arial"/>
        <family val="2"/>
      </rPr>
      <t>TO</t>
    </r>
  </si>
  <si>
    <t xml:space="preserve">to the left.  </t>
  </si>
  <si>
    <t>Estimate</t>
  </si>
  <si>
    <r>
      <t xml:space="preserve">   </t>
    </r>
    <r>
      <rPr>
        <b/>
        <sz val="14"/>
        <color indexed="12"/>
        <rFont val="Arial"/>
        <family val="2"/>
      </rPr>
      <t xml:space="preserve"> to</t>
    </r>
  </si>
  <si>
    <t>be in blue or green</t>
  </si>
  <si>
    <t>Prediction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</si>
</sst>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00"/>
  </numFmts>
  <fonts count="8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16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color indexed="11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atang"/>
      <family val="1"/>
    </font>
    <font>
      <sz val="8"/>
      <name val="Arial"/>
      <family val="2"/>
    </font>
    <font>
      <sz val="10"/>
      <color indexed="20"/>
      <name val="Arial"/>
      <family val="2"/>
    </font>
    <font>
      <b/>
      <sz val="14"/>
      <color indexed="40"/>
      <name val="Arial"/>
      <family val="2"/>
    </font>
    <font>
      <sz val="14"/>
      <color indexed="10"/>
      <name val="Arial"/>
      <family val="2"/>
    </font>
    <font>
      <b/>
      <sz val="14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15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4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22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220EB6"/>
      <name val="Arial"/>
      <family val="2"/>
    </font>
    <font>
      <sz val="16"/>
      <color rgb="FF220EB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53" applyAlignment="1" applyProtection="1">
      <alignment/>
      <protection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10" fontId="0" fillId="33" borderId="10" xfId="0" applyNumberFormat="1" applyFill="1" applyBorder="1" applyAlignment="1">
      <alignment horizontal="center" wrapText="1"/>
    </xf>
    <xf numFmtId="9" fontId="0" fillId="33" borderId="10" xfId="0" applyNumberFormat="1" applyFill="1" applyBorder="1" applyAlignment="1">
      <alignment horizontal="center" wrapText="1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1" fillId="34" borderId="0" xfId="0" applyFont="1" applyFill="1" applyAlignment="1">
      <alignment/>
    </xf>
    <xf numFmtId="166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164" fontId="2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6" fillId="0" borderId="0" xfId="53" applyFont="1" applyAlignment="1" applyProtection="1">
      <alignment/>
      <protection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0" fontId="0" fillId="0" borderId="0" xfId="0" applyFill="1" applyAlignment="1">
      <alignment/>
    </xf>
    <xf numFmtId="1" fontId="7" fillId="36" borderId="0" xfId="0" applyNumberFormat="1" applyFont="1" applyFill="1" applyAlignment="1">
      <alignment/>
    </xf>
    <xf numFmtId="164" fontId="37" fillId="36" borderId="0" xfId="0" applyNumberFormat="1" applyFont="1" applyFill="1" applyAlignment="1">
      <alignment/>
    </xf>
    <xf numFmtId="0" fontId="37" fillId="36" borderId="0" xfId="0" applyFont="1" applyFill="1" applyAlignment="1">
      <alignment/>
    </xf>
    <xf numFmtId="1" fontId="38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2" fontId="7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44" fillId="34" borderId="0" xfId="0" applyFont="1" applyFill="1" applyAlignment="1">
      <alignment/>
    </xf>
    <xf numFmtId="164" fontId="79" fillId="0" borderId="0" xfId="0" applyNumberFormat="1" applyFont="1" applyAlignment="1">
      <alignment/>
    </xf>
    <xf numFmtId="164" fontId="8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542925</xdr:colOff>
      <xdr:row>7</xdr:row>
      <xdr:rowOff>9525</xdr:rowOff>
    </xdr:to>
    <xdr:pic>
      <xdr:nvPicPr>
        <xdr:cNvPr id="1" name="Picture 6" descr="PaciLogo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1762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">
      <selection activeCell="H9" sqref="H9"/>
    </sheetView>
  </sheetViews>
  <sheetFormatPr defaultColWidth="9.140625" defaultRowHeight="12.75"/>
  <cols>
    <col min="4" max="4" width="27.00390625" style="0" customWidth="1"/>
    <col min="5" max="5" width="10.421875" style="0" customWidth="1"/>
    <col min="7" max="7" width="9.8515625" style="0" customWidth="1"/>
  </cols>
  <sheetData>
    <row r="4" spans="5:10" ht="12.75">
      <c r="E4" s="58"/>
      <c r="F4" s="58"/>
      <c r="G4" s="58"/>
      <c r="H4" s="58"/>
      <c r="I4" s="58"/>
      <c r="J4" s="58"/>
    </row>
    <row r="5" spans="3:11" ht="18">
      <c r="C5" s="9" t="s">
        <v>47</v>
      </c>
      <c r="D5" s="9"/>
      <c r="E5" s="59"/>
      <c r="F5" s="60">
        <v>44.8</v>
      </c>
      <c r="G5" s="61"/>
      <c r="H5" s="61" t="s">
        <v>55</v>
      </c>
      <c r="I5" s="61"/>
      <c r="J5" s="59"/>
      <c r="K5" t="s">
        <v>91</v>
      </c>
    </row>
    <row r="6" spans="3:11" ht="18">
      <c r="C6" s="9" t="s">
        <v>48</v>
      </c>
      <c r="D6" s="9"/>
      <c r="E6" s="59"/>
      <c r="F6" s="11">
        <v>11.59</v>
      </c>
      <c r="H6" t="s">
        <v>56</v>
      </c>
      <c r="J6" s="59"/>
      <c r="K6" t="s">
        <v>92</v>
      </c>
    </row>
    <row r="7" spans="3:11" ht="18">
      <c r="C7" s="9" t="s">
        <v>49</v>
      </c>
      <c r="D7" s="9"/>
      <c r="E7" s="59"/>
      <c r="F7" s="11">
        <v>23.9</v>
      </c>
      <c r="H7" t="s">
        <v>82</v>
      </c>
      <c r="J7" s="59"/>
      <c r="K7" s="15"/>
    </row>
    <row r="8" spans="3:13" ht="18">
      <c r="C8" s="9" t="s">
        <v>50</v>
      </c>
      <c r="D8" s="9"/>
      <c r="E8" s="59"/>
      <c r="F8" s="11">
        <v>19.9</v>
      </c>
      <c r="H8" t="s">
        <v>131</v>
      </c>
      <c r="J8" s="59"/>
      <c r="K8" t="s">
        <v>78</v>
      </c>
      <c r="M8">
        <f>(ABS($F$5-$F$6))</f>
        <v>33.209999999999994</v>
      </c>
    </row>
    <row r="9" spans="3:13" ht="18">
      <c r="C9" s="9" t="s">
        <v>51</v>
      </c>
      <c r="E9" s="59"/>
      <c r="F9" s="11">
        <v>9</v>
      </c>
      <c r="J9" s="59"/>
      <c r="K9" t="s">
        <v>79</v>
      </c>
      <c r="M9">
        <f>(SQRT(((F7*F7*(F9-1))+(F8*F8*(F10-1)))/(F9+F10-2)))</f>
        <v>22.2738475732031</v>
      </c>
    </row>
    <row r="10" spans="3:13" ht="18">
      <c r="C10" s="9" t="s">
        <v>52</v>
      </c>
      <c r="E10" s="59"/>
      <c r="F10" s="60">
        <v>7</v>
      </c>
      <c r="G10" s="61"/>
      <c r="H10" s="61"/>
      <c r="I10" s="61"/>
      <c r="J10" s="59"/>
      <c r="K10" t="s">
        <v>116</v>
      </c>
      <c r="M10">
        <f>(F7+F8)/2</f>
        <v>21.9</v>
      </c>
    </row>
    <row r="11" spans="5:8" ht="15.75">
      <c r="E11" s="58"/>
      <c r="H11" s="5" t="s">
        <v>117</v>
      </c>
    </row>
    <row r="12" spans="4:10" ht="18">
      <c r="D12" t="s">
        <v>81</v>
      </c>
      <c r="F12" s="54">
        <f>M8</f>
        <v>33.209999999999994</v>
      </c>
      <c r="G12" s="55"/>
      <c r="H12" s="56">
        <f>$F12-(3*($M9/SQRT(($F9+$F10)/2)))</f>
        <v>9.58501700680884</v>
      </c>
      <c r="I12" s="57" t="s">
        <v>60</v>
      </c>
      <c r="J12" s="56">
        <f>$F12+(3*($M9/SQRT(($F9+$F10)/2)))</f>
        <v>56.83498299319115</v>
      </c>
    </row>
    <row r="13" spans="4:13" ht="18">
      <c r="D13" s="9" t="s">
        <v>89</v>
      </c>
      <c r="F13" s="12">
        <f>M8/M9</f>
        <v>1.4909862290677522</v>
      </c>
      <c r="H13" s="12">
        <f>F13-(1.96*M13)</f>
        <v>0.3763022430548695</v>
      </c>
      <c r="I13" s="53" t="s">
        <v>130</v>
      </c>
      <c r="J13" s="12">
        <f>F13+(1.96*M13)</f>
        <v>2.605670215080635</v>
      </c>
      <c r="L13" t="s">
        <v>80</v>
      </c>
      <c r="M13">
        <f>SQRT(((F9+F10)/(F9*F10))+((F13*F13)/(2*(F9+F10))))</f>
        <v>0.568716319394328</v>
      </c>
    </row>
    <row r="14" spans="2:8" ht="18">
      <c r="B14" s="9"/>
      <c r="D14" s="9" t="s">
        <v>90</v>
      </c>
      <c r="E14" s="12"/>
      <c r="F14" s="25">
        <f>M8/F7</f>
        <v>1.3895397489539747</v>
      </c>
      <c r="G14" s="12"/>
      <c r="H14" t="s">
        <v>71</v>
      </c>
    </row>
    <row r="15" spans="1:8" ht="18">
      <c r="A15" s="9"/>
      <c r="B15" s="9"/>
      <c r="H15" t="s">
        <v>70</v>
      </c>
    </row>
    <row r="16" spans="1:7" ht="18">
      <c r="A16" s="9"/>
      <c r="E16" s="25"/>
      <c r="G16" s="25"/>
    </row>
    <row r="17" ht="12.75">
      <c r="D17" s="17" t="s">
        <v>57</v>
      </c>
    </row>
    <row r="18" spans="5:9" ht="38.25">
      <c r="E18" s="19" t="s">
        <v>64</v>
      </c>
      <c r="F18" s="20" t="s">
        <v>65</v>
      </c>
      <c r="G18" s="20" t="s">
        <v>66</v>
      </c>
      <c r="H18" s="21"/>
      <c r="I18" t="s">
        <v>74</v>
      </c>
    </row>
    <row r="19" spans="5:9" ht="12.75">
      <c r="E19" s="20"/>
      <c r="F19" s="20">
        <v>2</v>
      </c>
      <c r="G19" s="20">
        <v>97.7</v>
      </c>
      <c r="H19" s="22">
        <v>0.811</v>
      </c>
      <c r="I19" t="s">
        <v>72</v>
      </c>
    </row>
    <row r="20" spans="5:9" ht="12.75">
      <c r="E20" s="20"/>
      <c r="F20" s="20">
        <v>1.9</v>
      </c>
      <c r="G20" s="20">
        <v>97.1</v>
      </c>
      <c r="H20" s="22">
        <v>0.794</v>
      </c>
      <c r="I20" t="s">
        <v>73</v>
      </c>
    </row>
    <row r="21" spans="5:11" ht="12.75">
      <c r="E21" s="20"/>
      <c r="F21" s="20">
        <v>1.8</v>
      </c>
      <c r="G21" s="20">
        <v>96.4</v>
      </c>
      <c r="H21" s="22">
        <v>0.774</v>
      </c>
      <c r="K21" t="s">
        <v>77</v>
      </c>
    </row>
    <row r="22" spans="5:9" ht="12.75">
      <c r="E22" s="20"/>
      <c r="F22" s="20">
        <v>1.7</v>
      </c>
      <c r="G22" s="20">
        <v>95.5</v>
      </c>
      <c r="H22" s="22">
        <v>0.754</v>
      </c>
      <c r="I22" t="s">
        <v>76</v>
      </c>
    </row>
    <row r="23" spans="5:8" ht="12.75">
      <c r="E23" s="20"/>
      <c r="F23" s="20">
        <v>1.6</v>
      </c>
      <c r="G23" s="20">
        <v>94.5</v>
      </c>
      <c r="H23" s="22">
        <v>0.731</v>
      </c>
    </row>
    <row r="24" spans="5:9" ht="12.75">
      <c r="E24" s="20"/>
      <c r="F24" s="20">
        <v>1.5</v>
      </c>
      <c r="G24" s="20">
        <v>93.3</v>
      </c>
      <c r="H24" s="22">
        <v>0.707</v>
      </c>
      <c r="I24" t="s">
        <v>84</v>
      </c>
    </row>
    <row r="25" spans="5:9" ht="12.75">
      <c r="E25" s="20"/>
      <c r="F25" s="20">
        <v>1.4</v>
      </c>
      <c r="G25" s="20">
        <v>91.9</v>
      </c>
      <c r="H25" s="22">
        <v>0.681</v>
      </c>
      <c r="I25" t="s">
        <v>85</v>
      </c>
    </row>
    <row r="26" spans="5:9" ht="12.75">
      <c r="E26" s="20"/>
      <c r="F26" s="20">
        <v>1.3</v>
      </c>
      <c r="G26" s="20">
        <v>90</v>
      </c>
      <c r="H26" s="22">
        <v>0.653</v>
      </c>
      <c r="I26" t="s">
        <v>86</v>
      </c>
    </row>
    <row r="27" spans="5:8" ht="12.75">
      <c r="E27" s="20"/>
      <c r="F27" s="20">
        <v>1.2</v>
      </c>
      <c r="G27" s="20">
        <v>88</v>
      </c>
      <c r="H27" s="22">
        <v>0.622</v>
      </c>
    </row>
    <row r="28" spans="5:8" ht="12.75">
      <c r="E28" s="20"/>
      <c r="F28" s="20">
        <v>1.1</v>
      </c>
      <c r="G28" s="20">
        <v>86</v>
      </c>
      <c r="H28" s="22">
        <v>0.589</v>
      </c>
    </row>
    <row r="29" spans="5:13" ht="12.75">
      <c r="E29" s="20"/>
      <c r="F29" s="20">
        <v>1</v>
      </c>
      <c r="G29" s="20">
        <v>84</v>
      </c>
      <c r="H29" s="22">
        <v>0.554</v>
      </c>
      <c r="I29" t="s">
        <v>87</v>
      </c>
      <c r="M29" t="s">
        <v>88</v>
      </c>
    </row>
    <row r="30" spans="5:8" ht="12.75">
      <c r="E30" s="20"/>
      <c r="F30" s="20">
        <v>0.9</v>
      </c>
      <c r="G30" s="20">
        <v>82</v>
      </c>
      <c r="H30" s="22">
        <v>0.516</v>
      </c>
    </row>
    <row r="31" spans="5:8" ht="12.75">
      <c r="E31" s="19" t="s">
        <v>67</v>
      </c>
      <c r="F31" s="20">
        <v>0.8</v>
      </c>
      <c r="G31" s="20">
        <v>79</v>
      </c>
      <c r="H31" s="22">
        <v>0.474</v>
      </c>
    </row>
    <row r="32" spans="5:8" ht="12.75">
      <c r="E32" s="20"/>
      <c r="F32" s="20">
        <v>0.7</v>
      </c>
      <c r="G32" s="20">
        <v>76</v>
      </c>
      <c r="H32" s="22">
        <v>0.43</v>
      </c>
    </row>
    <row r="33" spans="5:8" ht="12.75">
      <c r="E33" s="20"/>
      <c r="F33" s="20">
        <v>0.6</v>
      </c>
      <c r="G33" s="20">
        <v>73</v>
      </c>
      <c r="H33" s="22">
        <v>0.382</v>
      </c>
    </row>
    <row r="34" spans="5:8" ht="12.75">
      <c r="E34" s="19" t="s">
        <v>68</v>
      </c>
      <c r="F34" s="20">
        <v>0.5</v>
      </c>
      <c r="G34" s="20">
        <v>69</v>
      </c>
      <c r="H34" s="22">
        <v>0.33</v>
      </c>
    </row>
    <row r="35" spans="5:8" ht="12.75">
      <c r="E35" s="20"/>
      <c r="F35" s="20">
        <v>0.4</v>
      </c>
      <c r="G35" s="20">
        <v>66</v>
      </c>
      <c r="H35" s="22">
        <v>0.274</v>
      </c>
    </row>
    <row r="36" spans="5:8" ht="12.75">
      <c r="E36" s="20"/>
      <c r="F36" s="20">
        <v>0.3</v>
      </c>
      <c r="G36" s="20">
        <v>62</v>
      </c>
      <c r="H36" s="22">
        <v>0.213</v>
      </c>
    </row>
    <row r="37" spans="5:8" ht="12.75">
      <c r="E37" s="19" t="s">
        <v>69</v>
      </c>
      <c r="F37" s="20">
        <v>0.2</v>
      </c>
      <c r="G37" s="20">
        <v>58</v>
      </c>
      <c r="H37" s="22">
        <v>0.147</v>
      </c>
    </row>
    <row r="38" spans="5:8" ht="12.75">
      <c r="E38" s="20"/>
      <c r="F38" s="20">
        <v>0.1</v>
      </c>
      <c r="G38" s="20">
        <v>54</v>
      </c>
      <c r="H38" s="22">
        <v>0.077</v>
      </c>
    </row>
    <row r="39" spans="5:8" ht="12.75">
      <c r="E39" s="20"/>
      <c r="F39" s="20">
        <v>0</v>
      </c>
      <c r="G39" s="20">
        <v>50</v>
      </c>
      <c r="H39" s="23">
        <v>0</v>
      </c>
    </row>
  </sheetData>
  <sheetProtection/>
  <hyperlinks>
    <hyperlink ref="D17" location="INDEX!A1" display="    Back to Index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9"/>
  <sheetViews>
    <sheetView zoomScalePageLayoutView="0" workbookViewId="0" topLeftCell="A1">
      <selection activeCell="D16" sqref="D16"/>
    </sheetView>
  </sheetViews>
  <sheetFormatPr defaultColWidth="9.140625" defaultRowHeight="12.75"/>
  <sheetData>
    <row r="5" ht="12.75">
      <c r="L5" s="18"/>
    </row>
    <row r="8" ht="18">
      <c r="E8" s="11" t="s">
        <v>54</v>
      </c>
    </row>
    <row r="9" ht="18">
      <c r="E9" s="11" t="s">
        <v>53</v>
      </c>
    </row>
    <row r="10" spans="4:5" ht="18">
      <c r="D10" s="11"/>
      <c r="E10" s="14" t="s">
        <v>59</v>
      </c>
    </row>
    <row r="11" ht="26.25">
      <c r="B11" s="1" t="s">
        <v>58</v>
      </c>
    </row>
    <row r="13" spans="1:13" ht="1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52" t="s">
        <v>109</v>
      </c>
      <c r="B14" s="52"/>
      <c r="C14" s="52"/>
      <c r="D14" s="52"/>
      <c r="E14" s="52"/>
      <c r="F14" s="52"/>
      <c r="G14" s="52"/>
      <c r="H14" s="52"/>
      <c r="I14" s="52"/>
      <c r="J14" s="52"/>
      <c r="K14" s="9"/>
      <c r="L14" s="9"/>
      <c r="M14" s="9"/>
    </row>
    <row r="15" spans="1:13" ht="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52" t="s">
        <v>106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7" ht="18">
      <c r="A18" s="52" t="s">
        <v>75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sheetProtection/>
  <hyperlinks>
    <hyperlink ref="A14:J14" location="DIAGNOSIS!A1" display="Click here for Statistics on DIAGNOSIS:  Sensitivity, Specificity,  +/-Predictive Values,  Likelihood Ratios."/>
    <hyperlink ref="A16:M16" location="THERAPYA!A1" display="Click here for Statistics on THERAPY where data is categorical:  ARR, RRR,  NNT,  Confidence Intervals, Odds Ratios or Relative Risk"/>
    <hyperlink ref="A18:Q18" location="THERAPYB!A1" display="Click here for Statistics on Therapy where data is score data:  Effect Size,  Mean difference,  Confidence Intervals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2.00390625" style="0" customWidth="1"/>
    <col min="2" max="2" width="32.57421875" style="0" customWidth="1"/>
    <col min="3" max="3" width="14.57421875" style="0" customWidth="1"/>
    <col min="5" max="5" width="12.00390625" style="0" customWidth="1"/>
    <col min="6" max="6" width="9.421875" style="0" customWidth="1"/>
    <col min="12" max="12" width="10.140625" style="0" customWidth="1"/>
    <col min="14" max="14" width="11.28125" style="0" customWidth="1"/>
  </cols>
  <sheetData>
    <row r="1" spans="1:5" ht="20.25">
      <c r="A1" s="2"/>
      <c r="B1" s="2"/>
      <c r="C1" s="3" t="s">
        <v>0</v>
      </c>
      <c r="D1" s="3"/>
      <c r="E1" s="3"/>
    </row>
    <row r="2" spans="1:5" ht="20.25">
      <c r="A2" s="26" t="s">
        <v>1</v>
      </c>
      <c r="B2" s="13"/>
      <c r="C2" s="2" t="s">
        <v>2</v>
      </c>
      <c r="D2" s="2" t="s">
        <v>3</v>
      </c>
      <c r="E2" s="2"/>
    </row>
    <row r="3" spans="1:8" ht="20.25">
      <c r="A3" s="26" t="s">
        <v>4</v>
      </c>
      <c r="B3" s="13" t="s">
        <v>2</v>
      </c>
      <c r="C3" s="4">
        <v>731</v>
      </c>
      <c r="D3" s="4">
        <v>270</v>
      </c>
      <c r="E3" s="2">
        <f>SUM(C3:D3)</f>
        <v>1001</v>
      </c>
      <c r="F3" s="5" t="s">
        <v>5</v>
      </c>
      <c r="G3" s="5"/>
      <c r="H3" s="6"/>
    </row>
    <row r="4" spans="1:8" ht="20.25">
      <c r="A4" s="13"/>
      <c r="B4" s="13" t="s">
        <v>3</v>
      </c>
      <c r="C4" s="4">
        <v>78</v>
      </c>
      <c r="D4" s="4">
        <v>1500</v>
      </c>
      <c r="E4" s="2">
        <f>SUM(C4:D4)</f>
        <v>1578</v>
      </c>
      <c r="F4" s="5" t="s">
        <v>6</v>
      </c>
      <c r="G4" s="5"/>
      <c r="H4" s="6"/>
    </row>
    <row r="5" spans="1:10" ht="20.25">
      <c r="A5" s="27" t="s">
        <v>7</v>
      </c>
      <c r="B5" s="13"/>
      <c r="C5" s="2">
        <f>SUM(C3:C4)</f>
        <v>809</v>
      </c>
      <c r="D5" s="2">
        <f>SUM(D3:D4)</f>
        <v>1770</v>
      </c>
      <c r="E5" s="2">
        <f>SUM(E3:E4)</f>
        <v>2579</v>
      </c>
      <c r="H5" s="6"/>
      <c r="J5" s="16"/>
    </row>
    <row r="6" spans="1:13" ht="20.25">
      <c r="A6" s="27" t="s">
        <v>8</v>
      </c>
      <c r="B6" s="13"/>
      <c r="C6" s="2" t="s">
        <v>9</v>
      </c>
      <c r="D6" s="2" t="s">
        <v>10</v>
      </c>
      <c r="E6" s="2"/>
      <c r="J6" s="16"/>
      <c r="M6" s="9" t="s">
        <v>126</v>
      </c>
    </row>
    <row r="7" spans="1:14" ht="20.25">
      <c r="A7" s="27"/>
      <c r="B7" s="13"/>
      <c r="C7" s="2"/>
      <c r="D7" s="2"/>
      <c r="E7" s="2"/>
      <c r="M7" s="9" t="s">
        <v>124</v>
      </c>
      <c r="N7" s="9" t="s">
        <v>125</v>
      </c>
    </row>
    <row r="8" spans="1:15" ht="20.25">
      <c r="A8" s="26" t="s">
        <v>11</v>
      </c>
      <c r="B8" s="13"/>
      <c r="C8" s="79">
        <f>C3/(C3+C4)</f>
        <v>0.9035846724351051</v>
      </c>
      <c r="D8" s="5" t="s">
        <v>12</v>
      </c>
      <c r="E8" s="5"/>
      <c r="F8" s="5"/>
      <c r="G8" s="35"/>
      <c r="H8" s="35"/>
      <c r="I8" s="5"/>
      <c r="J8" s="5"/>
      <c r="K8" s="5"/>
      <c r="L8" s="5"/>
      <c r="M8" s="78">
        <f>$C$8-(1.96*SQRT((($C$8)*(1-$C$8))/$C$5))</f>
        <v>0.8832452189790998</v>
      </c>
      <c r="N8" s="78">
        <f>$C$8+(1.96*SQRT((($C$8)*(1-$C$8))/$C$5))</f>
        <v>0.9239241258911104</v>
      </c>
      <c r="O8" s="5"/>
    </row>
    <row r="9" spans="1:15" ht="20.25">
      <c r="A9" s="26" t="s">
        <v>13</v>
      </c>
      <c r="B9" s="13"/>
      <c r="C9" s="7">
        <f>D4/(D3+D4)</f>
        <v>0.847457627118644</v>
      </c>
      <c r="D9" s="5" t="s">
        <v>14</v>
      </c>
      <c r="E9" s="5"/>
      <c r="F9" s="5"/>
      <c r="G9" s="35"/>
      <c r="H9" s="35"/>
      <c r="I9" s="5"/>
      <c r="J9" s="5"/>
      <c r="K9" s="5"/>
      <c r="L9" s="5"/>
      <c r="M9" s="37">
        <f>$C9-(1.96)*SQRT(($C9*(1-$C9)/E$5))</f>
        <v>0.833580976767853</v>
      </c>
      <c r="N9" s="37">
        <f>$C9+(1.96)*SQRT(($C9*(1-$C9)/E$5))</f>
        <v>0.861334277469435</v>
      </c>
      <c r="O9" s="5"/>
    </row>
    <row r="10" spans="1:15" ht="20.25">
      <c r="A10" s="26" t="s">
        <v>15</v>
      </c>
      <c r="B10" s="13"/>
      <c r="C10" s="7">
        <f>C3/(C3+D3)</f>
        <v>0.7302697302697303</v>
      </c>
      <c r="D10" s="5" t="s">
        <v>16</v>
      </c>
      <c r="E10" s="5"/>
      <c r="F10" s="36"/>
      <c r="G10" s="5"/>
      <c r="H10" s="5"/>
      <c r="I10" s="5"/>
      <c r="J10" s="5"/>
      <c r="K10" s="5"/>
      <c r="L10" s="5"/>
      <c r="M10" s="5"/>
      <c r="N10" s="5"/>
      <c r="O10" s="5"/>
    </row>
    <row r="11" spans="1:15" ht="20.25">
      <c r="A11" s="26" t="s">
        <v>17</v>
      </c>
      <c r="B11" s="13"/>
      <c r="C11" s="7">
        <f>D4/(C4+D4)</f>
        <v>0.9505703422053232</v>
      </c>
      <c r="D11" s="5" t="s">
        <v>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0.25">
      <c r="A12" s="26" t="s">
        <v>19</v>
      </c>
      <c r="B12" s="13"/>
      <c r="C12" s="8">
        <f>(C3+D4)/(C3+D3+C4+D4)*100</f>
        <v>86.50639782861575</v>
      </c>
      <c r="D12" s="5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0.25">
      <c r="A13" s="26" t="s">
        <v>21</v>
      </c>
      <c r="B13" s="13"/>
      <c r="C13" s="74">
        <f>C8/(1-C9)</f>
        <v>5.923499519296799</v>
      </c>
      <c r="D13" s="5" t="s">
        <v>22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0.25">
      <c r="A14" s="26" t="s">
        <v>23</v>
      </c>
      <c r="B14" s="13"/>
      <c r="C14" s="74">
        <f>(C4/(C3+C4))/(D4/(D3+D4))</f>
        <v>0.11377008652657603</v>
      </c>
      <c r="D14" s="5" t="s">
        <v>24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3" ht="18">
      <c r="A15" s="13"/>
      <c r="B15" s="13"/>
      <c r="C15" s="75"/>
    </row>
    <row r="16" spans="1:4" ht="20.25">
      <c r="A16" s="28" t="s">
        <v>25</v>
      </c>
      <c r="B16" s="13"/>
      <c r="C16" s="76">
        <v>0.5</v>
      </c>
      <c r="D16" s="9" t="s">
        <v>26</v>
      </c>
    </row>
    <row r="17" spans="1:3" ht="18">
      <c r="A17" s="13"/>
      <c r="B17" s="13"/>
      <c r="C17" s="75"/>
    </row>
    <row r="18" spans="1:4" ht="20.25">
      <c r="A18" s="26" t="s">
        <v>27</v>
      </c>
      <c r="B18" s="26"/>
      <c r="C18" s="69">
        <f>(C16*C8)/((C16*C8+(1-C16)*(1-C9)))*100</f>
        <v>85.55643721483833</v>
      </c>
      <c r="D18" s="10" t="s">
        <v>28</v>
      </c>
    </row>
    <row r="19" spans="1:4" ht="20.25">
      <c r="A19" s="26" t="s">
        <v>29</v>
      </c>
      <c r="B19" s="13"/>
      <c r="C19" s="69">
        <f>(C14*C16)/((C14*C16)+(1-C16))*100</f>
        <v>10.214862825179791</v>
      </c>
      <c r="D19" s="10" t="s">
        <v>30</v>
      </c>
    </row>
    <row r="20" spans="1:15" ht="27.75">
      <c r="A20" s="62"/>
      <c r="B20" s="77" t="s">
        <v>112</v>
      </c>
      <c r="C20" s="69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0.25">
      <c r="A21" s="62"/>
      <c r="B21" s="29" t="s">
        <v>113</v>
      </c>
      <c r="C21" s="69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20.25">
      <c r="A22" s="62"/>
      <c r="B22" s="29" t="s">
        <v>114</v>
      </c>
      <c r="C22" s="70">
        <v>0.22</v>
      </c>
      <c r="D22" s="63"/>
      <c r="E22" s="65" t="s">
        <v>110</v>
      </c>
      <c r="F22" s="66">
        <f>C22/(1-C23)</f>
        <v>27.499999999999975</v>
      </c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0.25">
      <c r="A23" s="62"/>
      <c r="B23" s="29" t="s">
        <v>115</v>
      </c>
      <c r="C23" s="70">
        <v>0.992</v>
      </c>
      <c r="D23" s="63"/>
      <c r="E23" s="65" t="s">
        <v>111</v>
      </c>
      <c r="F23" s="66">
        <f>(1-C22)/C23</f>
        <v>0.7862903225806452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0.25">
      <c r="A24" s="67" t="s">
        <v>25</v>
      </c>
      <c r="B24" s="29"/>
      <c r="C24" s="71">
        <v>0.8</v>
      </c>
      <c r="D24" s="65" t="s">
        <v>26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0.25">
      <c r="A25" s="62" t="s">
        <v>27</v>
      </c>
      <c r="B25" s="62"/>
      <c r="C25" s="72">
        <f>(C24*C22)/((C24*C22+(1-C24)*(1-C23)))*100</f>
        <v>99.0990990990991</v>
      </c>
      <c r="D25" s="63" t="s">
        <v>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0.25">
      <c r="A26" s="62" t="s">
        <v>29</v>
      </c>
      <c r="B26" s="29"/>
      <c r="C26" s="72">
        <f>(F23*C24)/((F23*C24)+(1-C24))*100</f>
        <v>75.87548638132297</v>
      </c>
      <c r="D26" s="63" t="s">
        <v>30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ht="15.75">
      <c r="C27" s="73" t="s">
        <v>132</v>
      </c>
    </row>
    <row r="28" spans="2:3" ht="12.75">
      <c r="B28" s="17" t="s">
        <v>44</v>
      </c>
      <c r="C28" s="68"/>
    </row>
  </sheetData>
  <sheetProtection/>
  <hyperlinks>
    <hyperlink ref="B28" location="INDEX!A1" display="Back to Index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8.57421875" style="0" customWidth="1"/>
    <col min="2" max="2" width="10.140625" style="0" customWidth="1"/>
    <col min="3" max="3" width="7.8515625" style="0" customWidth="1"/>
    <col min="6" max="6" width="23.00390625" style="0" customWidth="1"/>
    <col min="7" max="7" width="13.140625" style="0" customWidth="1"/>
    <col min="8" max="8" width="14.421875" style="0" customWidth="1"/>
    <col min="9" max="9" width="12.00390625" style="0" customWidth="1"/>
    <col min="10" max="11" width="10.57421875" style="0" customWidth="1"/>
    <col min="12" max="12" width="10.57421875" style="0" bestFit="1" customWidth="1"/>
  </cols>
  <sheetData>
    <row r="1" spans="1:3" ht="20.25">
      <c r="A1" s="2"/>
      <c r="B1" s="3" t="s">
        <v>31</v>
      </c>
      <c r="C1" s="3" t="s">
        <v>32</v>
      </c>
    </row>
    <row r="2" spans="1:5" ht="20.25">
      <c r="A2" s="3" t="s">
        <v>33</v>
      </c>
      <c r="B2" s="4">
        <v>8</v>
      </c>
      <c r="C2" s="4">
        <v>23</v>
      </c>
      <c r="D2" s="13">
        <f>SUM(B2:C2)</f>
        <v>31</v>
      </c>
      <c r="E2" t="s">
        <v>34</v>
      </c>
    </row>
    <row r="3" spans="1:5" ht="20.25">
      <c r="A3" s="3" t="s">
        <v>35</v>
      </c>
      <c r="B3" s="4">
        <v>3</v>
      </c>
      <c r="C3" s="4">
        <v>27</v>
      </c>
      <c r="D3" s="13">
        <f>SUM(B3:C3)</f>
        <v>30</v>
      </c>
      <c r="E3" t="s">
        <v>128</v>
      </c>
    </row>
    <row r="4" spans="1:9" ht="18">
      <c r="A4" s="9" t="s">
        <v>45</v>
      </c>
      <c r="B4" s="13">
        <f>SUM(B2,B3)</f>
        <v>11</v>
      </c>
      <c r="C4" s="13">
        <f>SUM(C3:C3)</f>
        <v>27</v>
      </c>
      <c r="D4" s="13">
        <f>SUM(D2:D3)</f>
        <v>61</v>
      </c>
      <c r="G4" s="9" t="s">
        <v>129</v>
      </c>
      <c r="I4" s="13" t="s">
        <v>123</v>
      </c>
    </row>
    <row r="5" spans="1:12" ht="18">
      <c r="A5" s="9" t="s">
        <v>36</v>
      </c>
      <c r="B5" s="9"/>
      <c r="D5" s="14" t="s">
        <v>37</v>
      </c>
      <c r="G5" s="80">
        <f>B3/(B3+C3)</f>
        <v>0.1</v>
      </c>
      <c r="H5" s="31"/>
      <c r="I5" s="39"/>
      <c r="J5" s="51"/>
      <c r="K5" s="32"/>
      <c r="L5" s="32"/>
    </row>
    <row r="6" spans="1:12" ht="18">
      <c r="A6" s="9" t="s">
        <v>38</v>
      </c>
      <c r="B6" s="9"/>
      <c r="D6" s="13" t="s">
        <v>39</v>
      </c>
      <c r="G6" s="81">
        <f>B2/(B2+C2)</f>
        <v>0.25806451612903225</v>
      </c>
      <c r="H6" s="42"/>
      <c r="I6" s="32"/>
      <c r="J6" s="32"/>
      <c r="K6" s="32"/>
      <c r="L6" s="32"/>
    </row>
    <row r="7" spans="1:16" ht="18">
      <c r="A7" s="9" t="s">
        <v>119</v>
      </c>
      <c r="B7" s="9"/>
      <c r="D7" s="14" t="s">
        <v>40</v>
      </c>
      <c r="E7" s="16"/>
      <c r="G7" s="40">
        <f>(G5-G6)</f>
        <v>-0.15806451612903225</v>
      </c>
      <c r="H7" s="41"/>
      <c r="I7" s="40">
        <f>($G$7)-1.96*(SQRT(((($G$5)*(1-$G$5))/$D$3)+((($G$6)*(1-$G$6))/$D$2)))</f>
        <v>-0.3458194420700006</v>
      </c>
      <c r="J7" s="41" t="s">
        <v>60</v>
      </c>
      <c r="K7" s="40">
        <f>($G$7)+1.96*(SQRT(((($G$5)*(1-$G$5))/$D$3)+((($G$6)*(1-$G$6))/$D$2)))</f>
        <v>0.02969040981193613</v>
      </c>
      <c r="L7" s="32"/>
      <c r="P7" s="24"/>
    </row>
    <row r="8" spans="1:12" ht="18">
      <c r="A8" s="9" t="s">
        <v>120</v>
      </c>
      <c r="B8" s="9"/>
      <c r="D8" s="14" t="s">
        <v>41</v>
      </c>
      <c r="E8" s="16"/>
      <c r="G8" s="43">
        <f>(G7/G5)</f>
        <v>-1.5806451612903223</v>
      </c>
      <c r="H8" s="44"/>
      <c r="I8" s="50">
        <f>1-K10</f>
        <v>-7.81411399715301</v>
      </c>
      <c r="J8" s="50" t="s">
        <v>60</v>
      </c>
      <c r="K8" s="50">
        <f>1-I10</f>
        <v>0.2444244026521244</v>
      </c>
      <c r="L8" s="32"/>
    </row>
    <row r="9" spans="1:12" ht="20.25">
      <c r="A9" s="9" t="s">
        <v>118</v>
      </c>
      <c r="B9" s="9"/>
      <c r="D9" s="14" t="s">
        <v>42</v>
      </c>
      <c r="E9" s="16"/>
      <c r="G9" s="12">
        <f>1/G7</f>
        <v>-6.326530612244898</v>
      </c>
      <c r="H9" s="33" t="s">
        <v>83</v>
      </c>
      <c r="I9" s="45">
        <f>1/($G$7+1.96*(SQRT(((($G$5)*(1-$G$5))/$D$3)+((($G$6*(1-$G$6))/$D$2)))))</f>
        <v>33.68090930149372</v>
      </c>
      <c r="J9" s="46" t="s">
        <v>60</v>
      </c>
      <c r="K9" s="45">
        <f>1/($G$7-1.96*(SQRT(((($G$5)*(1-$G$5))/$D$3)+((($G$6*(1-$G$6))/$D$2)))))</f>
        <v>-2.891682416738098</v>
      </c>
      <c r="L9" s="34" t="s">
        <v>122</v>
      </c>
    </row>
    <row r="10" spans="1:14" ht="18">
      <c r="A10" s="9" t="s">
        <v>93</v>
      </c>
      <c r="B10" s="9"/>
      <c r="D10" s="14" t="s">
        <v>94</v>
      </c>
      <c r="E10" s="16"/>
      <c r="G10" s="39">
        <f>G6/G5</f>
        <v>2.5806451612903225</v>
      </c>
      <c r="H10" s="31"/>
      <c r="I10" s="39">
        <f>EXP(LN($G$10)-1.96*SQRT((((($C$2/$B$2)/($B$2+$C$2))+(($C$3/$B$3)/($B$3+$C$3))))))</f>
        <v>0.7555755973478756</v>
      </c>
      <c r="J10" s="38" t="s">
        <v>60</v>
      </c>
      <c r="K10" s="39">
        <f>EXP(LN($G$10)+1.96*SQRT((((($C$2/$B$2)/($B$2+$C$2))+(($C$3/$B$3)/($B$3+$C$3))))))</f>
        <v>8.81411399715301</v>
      </c>
      <c r="L10" s="32"/>
      <c r="N10" s="30"/>
    </row>
    <row r="11" spans="1:12" ht="18">
      <c r="A11" s="9" t="s">
        <v>95</v>
      </c>
      <c r="B11" s="9"/>
      <c r="D11" s="14" t="s">
        <v>96</v>
      </c>
      <c r="G11" s="47">
        <f>(B2*C3)/(B3*C2)</f>
        <v>3.130434782608696</v>
      </c>
      <c r="H11" s="48"/>
      <c r="I11" s="47">
        <f>EXP((LN(G11))-((1.96)*SQRT((1/B2)+(1/C2)+(1/B3)+(1/C3))))</f>
        <v>0.7426044326329693</v>
      </c>
      <c r="J11" s="49" t="s">
        <v>127</v>
      </c>
      <c r="K11" s="47">
        <f>EXP(LN(G11)+1.96*SQRT((1/B2)+(1/C2)+(1/B3)+(1/C3)))</f>
        <v>13.196287952956233</v>
      </c>
      <c r="L11" s="32"/>
    </row>
    <row r="12" ht="18">
      <c r="A12" s="9" t="s">
        <v>46</v>
      </c>
    </row>
    <row r="13" spans="1:11" ht="18">
      <c r="A13" s="9" t="s">
        <v>43</v>
      </c>
      <c r="I13" s="30"/>
      <c r="K13" s="30"/>
    </row>
    <row r="14" spans="1:11" ht="18">
      <c r="A14" s="9" t="s">
        <v>97</v>
      </c>
      <c r="K14" t="s">
        <v>98</v>
      </c>
    </row>
    <row r="15" spans="1:11" ht="18">
      <c r="A15" s="9" t="s">
        <v>103</v>
      </c>
      <c r="K15" t="s">
        <v>121</v>
      </c>
    </row>
    <row r="16" ht="18">
      <c r="A16" s="9" t="s">
        <v>107</v>
      </c>
    </row>
    <row r="17" ht="18">
      <c r="A17" s="9" t="s">
        <v>61</v>
      </c>
    </row>
    <row r="18" spans="1:6" ht="18">
      <c r="A18" s="9" t="s">
        <v>104</v>
      </c>
      <c r="F18" s="9"/>
    </row>
    <row r="19" spans="1:6" ht="18">
      <c r="A19" s="9"/>
      <c r="F19" s="9"/>
    </row>
    <row r="20" spans="1:4" ht="18">
      <c r="A20" s="9" t="s">
        <v>99</v>
      </c>
      <c r="B20" s="9"/>
      <c r="C20" s="9"/>
      <c r="D20" s="9"/>
    </row>
    <row r="21" spans="1:6" ht="18">
      <c r="A21" s="9" t="s">
        <v>100</v>
      </c>
      <c r="B21" s="9"/>
      <c r="C21" s="9"/>
      <c r="D21" s="9"/>
      <c r="F21" s="9" t="s">
        <v>62</v>
      </c>
    </row>
    <row r="22" spans="1:9" ht="18">
      <c r="A22" s="9" t="s">
        <v>101</v>
      </c>
      <c r="B22" s="9"/>
      <c r="C22" s="9"/>
      <c r="D22" s="9"/>
      <c r="E22" s="9"/>
      <c r="F22" s="9"/>
      <c r="I22" s="12"/>
    </row>
    <row r="23" spans="1:6" ht="18">
      <c r="A23" s="9" t="s">
        <v>102</v>
      </c>
      <c r="B23" s="9"/>
      <c r="C23" s="9"/>
      <c r="D23" s="9" t="s">
        <v>63</v>
      </c>
      <c r="E23" s="9"/>
      <c r="F23" s="9"/>
    </row>
    <row r="24" ht="18">
      <c r="A24" s="9" t="s">
        <v>105</v>
      </c>
    </row>
    <row r="25" spans="4:6" ht="12.75">
      <c r="D25" s="17" t="s">
        <v>44</v>
      </c>
      <c r="F25" t="s">
        <v>108</v>
      </c>
    </row>
  </sheetData>
  <sheetProtection/>
  <hyperlinks>
    <hyperlink ref="D25" location="INDEX!A1" display="Back to Index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</dc:creator>
  <cp:keywords/>
  <dc:description/>
  <cp:lastModifiedBy>UIS</cp:lastModifiedBy>
  <cp:lastPrinted>2006-03-21T21:48:23Z</cp:lastPrinted>
  <dcterms:created xsi:type="dcterms:W3CDTF">2004-04-07T17:06:44Z</dcterms:created>
  <dcterms:modified xsi:type="dcterms:W3CDTF">2012-10-11T15:07:18Z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